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"/>
    </mc:Choice>
  </mc:AlternateContent>
  <bookViews>
    <workbookView xWindow="0" yWindow="0" windowWidth="3795" windowHeight="3990" activeTab="2"/>
  </bookViews>
  <sheets>
    <sheet name="Help and Directions" sheetId="2" r:id="rId1"/>
    <sheet name="Link Coupled Worksheet" sheetId="1" r:id="rId2"/>
    <sheet name="Link Coupled_Sweep_C" sheetId="3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3" i="3" l="1"/>
  <c r="D34" i="3" s="1"/>
  <c r="D32" i="3"/>
  <c r="D35" i="3" l="1"/>
  <c r="D36" i="3" s="1"/>
  <c r="D37" i="3" s="1"/>
  <c r="D38" i="3" s="1"/>
  <c r="D39" i="3" s="1"/>
  <c r="D40" i="3" s="1"/>
  <c r="D41" i="3" s="1"/>
  <c r="D42" i="3" s="1"/>
  <c r="B42" i="3"/>
  <c r="B41" i="3"/>
  <c r="B40" i="3"/>
  <c r="B39" i="3"/>
  <c r="B38" i="3"/>
  <c r="B37" i="3"/>
  <c r="B36" i="3"/>
  <c r="B35" i="3"/>
  <c r="B34" i="3"/>
  <c r="B33" i="3"/>
  <c r="E32" i="3"/>
  <c r="B32" i="3"/>
  <c r="F21" i="3"/>
  <c r="F12" i="3"/>
  <c r="A32" i="3" s="1"/>
  <c r="F6" i="3"/>
  <c r="C42" i="3" s="1"/>
  <c r="N12" i="1"/>
  <c r="N6" i="1"/>
  <c r="N13" i="1" s="1"/>
  <c r="P3" i="1"/>
  <c r="B9" i="1"/>
  <c r="B8" i="1"/>
  <c r="B13" i="1" s="1"/>
  <c r="B7" i="1"/>
  <c r="B12" i="1" s="1"/>
  <c r="B6" i="1"/>
  <c r="B11" i="1" s="1"/>
  <c r="A33" i="3" l="1"/>
  <c r="A39" i="3"/>
  <c r="A41" i="3"/>
  <c r="C34" i="3"/>
  <c r="H2" i="3"/>
  <c r="F14" i="3"/>
  <c r="F15" i="3" s="1"/>
  <c r="M15" i="3" s="1"/>
  <c r="C32" i="3"/>
  <c r="F32" i="3" s="1"/>
  <c r="H32" i="3" s="1"/>
  <c r="C36" i="3"/>
  <c r="H3" i="3"/>
  <c r="A35" i="3"/>
  <c r="A37" i="3"/>
  <c r="C38" i="3"/>
  <c r="C40" i="3"/>
  <c r="F22" i="3"/>
  <c r="N42" i="3"/>
  <c r="N40" i="3"/>
  <c r="N38" i="3"/>
  <c r="N34" i="3"/>
  <c r="N32" i="3"/>
  <c r="N39" i="3"/>
  <c r="N41" i="3"/>
  <c r="C33" i="3"/>
  <c r="A34" i="3"/>
  <c r="C35" i="3"/>
  <c r="A36" i="3"/>
  <c r="C37" i="3"/>
  <c r="A38" i="3"/>
  <c r="C39" i="3"/>
  <c r="A40" i="3"/>
  <c r="C41" i="3"/>
  <c r="A42" i="3"/>
  <c r="F8" i="3"/>
  <c r="F9" i="3" s="1"/>
  <c r="F11" i="3" s="1"/>
  <c r="F13" i="3"/>
  <c r="P2" i="1"/>
  <c r="N14" i="1"/>
  <c r="N15" i="1" s="1"/>
  <c r="N16" i="1"/>
  <c r="N17" i="1" s="1"/>
  <c r="U15" i="1"/>
  <c r="N18" i="1" s="1"/>
  <c r="N8" i="1"/>
  <c r="N9" i="1" s="1"/>
  <c r="N11" i="1" s="1"/>
  <c r="F16" i="3" l="1"/>
  <c r="F17" i="3" s="1"/>
  <c r="F18" i="3"/>
  <c r="I32" i="3"/>
  <c r="O32" i="3" s="1"/>
  <c r="N33" i="3"/>
  <c r="N37" i="3"/>
  <c r="G32" i="3"/>
  <c r="N36" i="3"/>
  <c r="N35" i="3"/>
  <c r="F24" i="3"/>
  <c r="F25" i="3" s="1"/>
  <c r="F23" i="3"/>
  <c r="L32" i="3" l="1"/>
  <c r="J32" i="3"/>
  <c r="K32" i="3" s="1"/>
  <c r="N25" i="3"/>
  <c r="F28" i="3" s="1"/>
  <c r="F26" i="3"/>
  <c r="F27" i="3" s="1"/>
  <c r="E33" i="3"/>
  <c r="F33" i="3" s="1"/>
  <c r="E34" i="3"/>
  <c r="F34" i="3" s="1"/>
  <c r="H34" i="3" l="1"/>
  <c r="I34" i="3" s="1"/>
  <c r="O34" i="3" s="1"/>
  <c r="G34" i="3"/>
  <c r="E35" i="3"/>
  <c r="F35" i="3" s="1"/>
  <c r="H35" i="3" s="1"/>
  <c r="I35" i="3" s="1"/>
  <c r="G33" i="3"/>
  <c r="H33" i="3"/>
  <c r="I33" i="3" s="1"/>
  <c r="O33" i="3" s="1"/>
  <c r="G35" i="3" l="1"/>
  <c r="J34" i="3"/>
  <c r="K34" i="3" s="1"/>
  <c r="J33" i="3"/>
  <c r="K33" i="3" s="1"/>
  <c r="L33" i="3"/>
  <c r="L34" i="3"/>
  <c r="E36" i="3"/>
  <c r="F36" i="3" s="1"/>
  <c r="G36" i="3" s="1"/>
  <c r="E37" i="3"/>
  <c r="F37" i="3" s="1"/>
  <c r="J35" i="3"/>
  <c r="K35" i="3" s="1"/>
  <c r="O35" i="3"/>
  <c r="L35" i="3" s="1"/>
  <c r="H36" i="3" l="1"/>
  <c r="I36" i="3" s="1"/>
  <c r="E38" i="3"/>
  <c r="F38" i="3" s="1"/>
  <c r="H37" i="3"/>
  <c r="I37" i="3" s="1"/>
  <c r="G37" i="3"/>
  <c r="J36" i="3"/>
  <c r="K36" i="3" s="1"/>
  <c r="O36" i="3"/>
  <c r="L36" i="3" s="1"/>
  <c r="E39" i="3" l="1"/>
  <c r="F39" i="3" s="1"/>
  <c r="J37" i="3"/>
  <c r="K37" i="3" s="1"/>
  <c r="O37" i="3"/>
  <c r="L37" i="3" s="1"/>
  <c r="G38" i="3"/>
  <c r="H38" i="3"/>
  <c r="I38" i="3" s="1"/>
  <c r="O38" i="3" l="1"/>
  <c r="L38" i="3" s="1"/>
  <c r="J38" i="3"/>
  <c r="K38" i="3" s="1"/>
  <c r="E40" i="3"/>
  <c r="F40" i="3" s="1"/>
  <c r="G39" i="3"/>
  <c r="H39" i="3"/>
  <c r="I39" i="3" s="1"/>
  <c r="G40" i="3" l="1"/>
  <c r="H40" i="3"/>
  <c r="I40" i="3" s="1"/>
  <c r="J39" i="3"/>
  <c r="K39" i="3" s="1"/>
  <c r="O39" i="3"/>
  <c r="L39" i="3" s="1"/>
  <c r="E42" i="3"/>
  <c r="F42" i="3" s="1"/>
  <c r="E41" i="3"/>
  <c r="F41" i="3" s="1"/>
  <c r="G41" i="3" l="1"/>
  <c r="H41" i="3"/>
  <c r="I41" i="3" s="1"/>
  <c r="O40" i="3"/>
  <c r="L40" i="3" s="1"/>
  <c r="J40" i="3"/>
  <c r="K40" i="3" s="1"/>
  <c r="G42" i="3"/>
  <c r="H42" i="3"/>
  <c r="I42" i="3" s="1"/>
  <c r="J41" i="3" l="1"/>
  <c r="O41" i="3"/>
  <c r="L41" i="3" s="1"/>
  <c r="J42" i="3"/>
  <c r="K42" i="3" s="1"/>
  <c r="O42" i="3"/>
  <c r="L42" i="3" s="1"/>
  <c r="K41" i="3"/>
</calcChain>
</file>

<file path=xl/sharedStrings.xml><?xml version="1.0" encoding="utf-8"?>
<sst xmlns="http://schemas.openxmlformats.org/spreadsheetml/2006/main" count="139" uniqueCount="85">
  <si>
    <t>Case I Link Coupled Tuned Primary Untuned Secondary</t>
  </si>
  <si>
    <t>Q1</t>
  </si>
  <si>
    <t>Freq</t>
  </si>
  <si>
    <t>Q2</t>
  </si>
  <si>
    <t>R1</t>
  </si>
  <si>
    <t>R2</t>
  </si>
  <si>
    <t>Xc1</t>
  </si>
  <si>
    <t>XL1</t>
  </si>
  <si>
    <t>XL2</t>
  </si>
  <si>
    <t>k</t>
  </si>
  <si>
    <t>Keep k &lt; 0.4 and increase Q1 if needed</t>
  </si>
  <si>
    <t>C1</t>
  </si>
  <si>
    <t>pF</t>
  </si>
  <si>
    <t>L1</t>
  </si>
  <si>
    <t>uH</t>
  </si>
  <si>
    <t>L2</t>
  </si>
  <si>
    <t>CASE I LINK COUPLED TUNED PRIMARY UNTUNED SECONDARY… Calculations from Measured Data</t>
  </si>
  <si>
    <t>RL</t>
  </si>
  <si>
    <t>omega F</t>
  </si>
  <si>
    <t>Rp</t>
  </si>
  <si>
    <t xml:space="preserve">This is not an exact or correct result! </t>
  </si>
  <si>
    <t>M_sq</t>
  </si>
  <si>
    <t>Z_f_RE</t>
  </si>
  <si>
    <t>This is the series RE part of the load RL reflected to the input</t>
  </si>
  <si>
    <t>Z_f_IM</t>
  </si>
  <si>
    <t>This is the FINAL series IM part of the input</t>
  </si>
  <si>
    <t>Effective L2</t>
  </si>
  <si>
    <t>Qin</t>
  </si>
  <si>
    <t>Effective L2 inductance is above</t>
  </si>
  <si>
    <t xml:space="preserve">This is the correted result! </t>
  </si>
  <si>
    <t>C_res</t>
  </si>
  <si>
    <t>Next need to find the corrected resonanting capacitor for primary</t>
  </si>
  <si>
    <t>This is an estimated result and quite close for larger Q1</t>
  </si>
  <si>
    <t>Enter the C series secondary C here</t>
  </si>
  <si>
    <t>Input here a series secondary coupling capacitor and recalculate the Rp and C_res Cap</t>
  </si>
  <si>
    <t>C2 in pF here---------</t>
  </si>
  <si>
    <t>C2_pF</t>
  </si>
  <si>
    <t>this is the added C coupling</t>
  </si>
  <si>
    <t>X2</t>
  </si>
  <si>
    <t xml:space="preserve">this is its reactance </t>
  </si>
  <si>
    <t>this is the reflected series real part</t>
  </si>
  <si>
    <t>this is the new final series primary L reactance</t>
  </si>
  <si>
    <t>Effective L1</t>
  </si>
  <si>
    <t>omega_F</t>
  </si>
  <si>
    <t xml:space="preserve">C2 </t>
  </si>
  <si>
    <t>Z_f_IM_Corr</t>
  </si>
  <si>
    <t>Eff_L1</t>
  </si>
  <si>
    <t>40 meters</t>
  </si>
  <si>
    <t>Here is the key output Rp------</t>
  </si>
  <si>
    <t>Here is the key output Cres----</t>
  </si>
  <si>
    <t>This portion of the worksheet provides a seed of values</t>
  </si>
  <si>
    <t>for the remainder of the calculations which follow</t>
  </si>
  <si>
    <t>Input operating Frequency Here</t>
  </si>
  <si>
    <t>Section A</t>
  </si>
  <si>
    <t xml:space="preserve">Section B </t>
  </si>
  <si>
    <t xml:space="preserve">This portion of the worksheet provides the values </t>
  </si>
  <si>
    <t>of Rp which results based on what is built from Section A</t>
  </si>
  <si>
    <t xml:space="preserve">The resonating C, Cp is also provided. You may enter the </t>
  </si>
  <si>
    <t xml:space="preserve">measured values of what is constructed based on </t>
  </si>
  <si>
    <t>This is section C</t>
  </si>
  <si>
    <t>This section makes use of the prior sections</t>
  </si>
  <si>
    <t>You can enter measure link coupled coil parameters</t>
  </si>
  <si>
    <t>And then complete the task of investigating required</t>
  </si>
  <si>
    <t>series coupling capacitor values for Cs to achieve an array</t>
  </si>
  <si>
    <t>of plate or stepped up Z values… Rp</t>
  </si>
  <si>
    <t>Enter starting C2 here in pF</t>
  </si>
  <si>
    <t>Enter C2 increment here in pF</t>
  </si>
  <si>
    <t xml:space="preserve">Spreadsheet for the solution of linked coupled coils. </t>
  </si>
  <si>
    <t>The workbook contains two sheets. The first addresses</t>
  </si>
  <si>
    <t xml:space="preserve">the solution for tuned primary untuned secondary. </t>
  </si>
  <si>
    <t xml:space="preserve">This first network provides the transfer of a load </t>
  </si>
  <si>
    <t>Z, for example 50 ohms to an increased value, several k ohm</t>
  </si>
  <si>
    <t xml:space="preserve">as required in a tube power amplifier. </t>
  </si>
  <si>
    <t>The values obtained from this first sheet may be used as</t>
  </si>
  <si>
    <t>seed values and transferred to the second sheet where an</t>
  </si>
  <si>
    <t xml:space="preserve">incremented in value. The results are values of input Q, </t>
  </si>
  <si>
    <t xml:space="preserve">        Input Cells are this shaded area</t>
  </si>
  <si>
    <t>All other cells are for calculation or are intermediate calculations or are outputs and results</t>
  </si>
  <si>
    <t>adjustable swept Cs or C2 on the secondary link coupled side is</t>
  </si>
  <si>
    <t xml:space="preserve">coil inductance. </t>
  </si>
  <si>
    <t>Those cells should be left un touched. NONE OF THE CELLS ARE LOCKED. SO PLEASE MAKE</t>
  </si>
  <si>
    <t>AN ORIGINAL COPY JUST IN CASE!</t>
  </si>
  <si>
    <t xml:space="preserve">increased Z of Rp, Cs or C2, and Cp or C_res to resonate with the primary </t>
  </si>
  <si>
    <r>
      <t xml:space="preserve">Spreadsheet for: </t>
    </r>
    <r>
      <rPr>
        <i/>
        <sz val="11"/>
        <color theme="1"/>
        <rFont val="Calibri"/>
        <family val="2"/>
        <scheme val="minor"/>
      </rPr>
      <t>Unraveling the Links in Link Coupled Circuits</t>
    </r>
    <r>
      <rPr>
        <sz val="11"/>
        <color theme="1"/>
        <rFont val="Calibri"/>
        <family val="2"/>
        <scheme val="minor"/>
      </rPr>
      <t xml:space="preserve"> </t>
    </r>
  </si>
  <si>
    <t>Alan Victor W4AMV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</si>
</sst>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rgb="FFFF0000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4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9"/>
        <bgColor indexed="64"/>
      </patternFill>
    </fill>
  </fills>
  <borders count="4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7">
    <xf numFmtId="0" fontId="0" fillId="0" borderId="0"/>
    <xf numFmtId="0" fontId="1" fillId="2" borderId="1" applyNumberFormat="0" applyAlignment="0" applyProtection="0"/>
    <xf numFmtId="0" fontId="2" fillId="3" borderId="2" applyNumberFormat="0" applyAlignment="0" applyProtection="0"/>
    <xf numFmtId="0" fontId="3" fillId="3" borderId="1" applyNumberFormat="0" applyAlignment="0" applyProtection="0"/>
    <xf numFmtId="0" fontId="4" fillId="4" borderId="3" applyNumberFormat="0" applyAlignment="0" applyProtection="0"/>
    <xf numFmtId="0" fontId="6" fillId="5" borderId="0" applyNumberFormat="0" applyBorder="0" applyAlignment="0" applyProtection="0"/>
    <xf numFmtId="0" fontId="8" fillId="8" borderId="0" applyNumberFormat="0" applyBorder="0" applyAlignment="0" applyProtection="0"/>
  </cellStyleXfs>
  <cellXfs count="26">
    <xf numFmtId="0" fontId="0" fillId="0" borderId="0" xfId="0"/>
    <xf numFmtId="0" fontId="7" fillId="0" borderId="0" xfId="0" applyFont="1"/>
    <xf numFmtId="0" fontId="1" fillId="2" borderId="1" xfId="1"/>
    <xf numFmtId="11" fontId="1" fillId="2" borderId="1" xfId="1" applyNumberFormat="1"/>
    <xf numFmtId="11" fontId="2" fillId="3" borderId="2" xfId="2" applyNumberFormat="1"/>
    <xf numFmtId="0" fontId="2" fillId="3" borderId="2" xfId="2"/>
    <xf numFmtId="0" fontId="4" fillId="4" borderId="3" xfId="4"/>
    <xf numFmtId="0" fontId="5" fillId="0" borderId="0" xfId="0" applyFont="1"/>
    <xf numFmtId="2" fontId="2" fillId="3" borderId="2" xfId="2" applyNumberFormat="1"/>
    <xf numFmtId="11" fontId="0" fillId="0" borderId="0" xfId="0" applyNumberFormat="1"/>
    <xf numFmtId="11" fontId="3" fillId="3" borderId="1" xfId="3" applyNumberFormat="1"/>
    <xf numFmtId="11" fontId="2" fillId="6" borderId="2" xfId="2" applyNumberFormat="1" applyFill="1"/>
    <xf numFmtId="0" fontId="0" fillId="6" borderId="0" xfId="0" applyFill="1"/>
    <xf numFmtId="0" fontId="0" fillId="7" borderId="0" xfId="0" applyFill="1"/>
    <xf numFmtId="11" fontId="6" fillId="5" borderId="2" xfId="5" applyNumberFormat="1" applyBorder="1"/>
    <xf numFmtId="0" fontId="0" fillId="9" borderId="0" xfId="0" applyFill="1"/>
    <xf numFmtId="11" fontId="0" fillId="9" borderId="0" xfId="0" applyNumberFormat="1" applyFill="1"/>
    <xf numFmtId="0" fontId="0" fillId="10" borderId="0" xfId="0" applyFill="1"/>
    <xf numFmtId="11" fontId="0" fillId="10" borderId="0" xfId="0" applyNumberFormat="1" applyFill="1"/>
    <xf numFmtId="0" fontId="0" fillId="11" borderId="0" xfId="0" applyFill="1"/>
    <xf numFmtId="11" fontId="0" fillId="11" borderId="0" xfId="0" applyNumberFormat="1" applyFill="1"/>
    <xf numFmtId="11" fontId="6" fillId="0" borderId="0" xfId="5" applyNumberFormat="1" applyFill="1" applyBorder="1"/>
    <xf numFmtId="0" fontId="8" fillId="8" borderId="1" xfId="6" applyBorder="1"/>
    <xf numFmtId="11" fontId="8" fillId="8" borderId="1" xfId="6" applyNumberFormat="1" applyBorder="1"/>
    <xf numFmtId="2" fontId="8" fillId="8" borderId="1" xfId="6" applyNumberFormat="1" applyBorder="1"/>
    <xf numFmtId="0" fontId="0" fillId="8" borderId="1" xfId="6" applyFont="1" applyBorder="1"/>
  </cellXfs>
  <cellStyles count="7">
    <cellStyle name="40% - Accent2" xfId="6" builtinId="35"/>
    <cellStyle name="Accent1" xfId="5" builtinId="29"/>
    <cellStyle name="Calculation" xfId="3" builtinId="22"/>
    <cellStyle name="Check Cell" xfId="4" builtinId="23"/>
    <cellStyle name="Input" xfId="1" builtinId="20"/>
    <cellStyle name="Normal" xfId="0" builtinId="0"/>
    <cellStyle name="Output" xfId="2" builtinId="2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2"/>
  <sheetViews>
    <sheetView workbookViewId="0">
      <selection activeCell="H2" sqref="H2"/>
    </sheetView>
  </sheetViews>
  <sheetFormatPr defaultRowHeight="15" x14ac:dyDescent="0.25"/>
  <sheetData>
    <row r="1" spans="1:1" x14ac:dyDescent="0.25">
      <c r="A1" t="s">
        <v>83</v>
      </c>
    </row>
    <row r="2" spans="1:1" x14ac:dyDescent="0.25">
      <c r="A2" t="s">
        <v>84</v>
      </c>
    </row>
    <row r="4" spans="1:1" x14ac:dyDescent="0.25">
      <c r="A4" t="s">
        <v>67</v>
      </c>
    </row>
    <row r="5" spans="1:1" x14ac:dyDescent="0.25">
      <c r="A5" t="s">
        <v>68</v>
      </c>
    </row>
    <row r="6" spans="1:1" x14ac:dyDescent="0.25">
      <c r="A6" t="s">
        <v>69</v>
      </c>
    </row>
    <row r="7" spans="1:1" x14ac:dyDescent="0.25">
      <c r="A7" t="s">
        <v>70</v>
      </c>
    </row>
    <row r="8" spans="1:1" x14ac:dyDescent="0.25">
      <c r="A8" t="s">
        <v>71</v>
      </c>
    </row>
    <row r="9" spans="1:1" x14ac:dyDescent="0.25">
      <c r="A9" t="s">
        <v>72</v>
      </c>
    </row>
    <row r="11" spans="1:1" x14ac:dyDescent="0.25">
      <c r="A11" t="s">
        <v>73</v>
      </c>
    </row>
    <row r="12" spans="1:1" x14ac:dyDescent="0.25">
      <c r="A12" t="s">
        <v>74</v>
      </c>
    </row>
    <row r="13" spans="1:1" x14ac:dyDescent="0.25">
      <c r="A13" t="s">
        <v>78</v>
      </c>
    </row>
    <row r="14" spans="1:1" x14ac:dyDescent="0.25">
      <c r="A14" t="s">
        <v>75</v>
      </c>
    </row>
    <row r="15" spans="1:1" x14ac:dyDescent="0.25">
      <c r="A15" t="s">
        <v>82</v>
      </c>
    </row>
    <row r="16" spans="1:1" x14ac:dyDescent="0.25">
      <c r="A16" t="s">
        <v>79</v>
      </c>
    </row>
    <row r="18" spans="1:9" x14ac:dyDescent="0.25">
      <c r="A18" s="25" t="s">
        <v>76</v>
      </c>
      <c r="B18" s="25"/>
      <c r="C18" s="25"/>
      <c r="D18" s="22"/>
    </row>
    <row r="20" spans="1:9" x14ac:dyDescent="0.25">
      <c r="A20" s="7" t="s">
        <v>77</v>
      </c>
    </row>
    <row r="21" spans="1:9" x14ac:dyDescent="0.25">
      <c r="A21" s="12" t="s">
        <v>80</v>
      </c>
      <c r="B21" s="12"/>
      <c r="C21" s="12"/>
      <c r="D21" s="12"/>
      <c r="E21" s="12"/>
      <c r="F21" s="12"/>
      <c r="G21" s="12"/>
      <c r="H21" s="12"/>
      <c r="I21" s="12"/>
    </row>
    <row r="22" spans="1:9" x14ac:dyDescent="0.25">
      <c r="A22" s="12" t="s">
        <v>81</v>
      </c>
      <c r="B22" s="12"/>
      <c r="C22" s="12"/>
      <c r="D22" s="12"/>
      <c r="E22" s="12"/>
      <c r="F22" s="12"/>
      <c r="G22" s="12"/>
      <c r="H22" s="12"/>
      <c r="I22" s="12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4"/>
  <sheetViews>
    <sheetView workbookViewId="0">
      <selection activeCell="A17" sqref="A17"/>
    </sheetView>
  </sheetViews>
  <sheetFormatPr defaultRowHeight="15" x14ac:dyDescent="0.25"/>
  <cols>
    <col min="13" max="13" width="12" bestFit="1" customWidth="1"/>
  </cols>
  <sheetData>
    <row r="1" spans="1:21" ht="18.75" x14ac:dyDescent="0.3">
      <c r="A1" s="1" t="s">
        <v>0</v>
      </c>
      <c r="I1" s="7" t="s">
        <v>52</v>
      </c>
      <c r="M1" s="1" t="s">
        <v>16</v>
      </c>
    </row>
    <row r="2" spans="1:21" x14ac:dyDescent="0.25">
      <c r="A2" t="s">
        <v>1</v>
      </c>
      <c r="B2" s="2">
        <v>10</v>
      </c>
      <c r="I2" t="s">
        <v>2</v>
      </c>
      <c r="J2" s="3">
        <v>7000000</v>
      </c>
      <c r="M2" t="s">
        <v>13</v>
      </c>
      <c r="N2" s="3">
        <v>9.3000000000000007E-6</v>
      </c>
      <c r="O2" t="s">
        <v>7</v>
      </c>
      <c r="P2" s="9">
        <f>N6*N2</f>
        <v>408.82800000000003</v>
      </c>
    </row>
    <row r="3" spans="1:21" x14ac:dyDescent="0.25">
      <c r="A3" t="s">
        <v>3</v>
      </c>
      <c r="B3" s="2">
        <v>0.8</v>
      </c>
      <c r="M3" t="s">
        <v>15</v>
      </c>
      <c r="N3" s="3">
        <v>1.3999999999999999E-6</v>
      </c>
      <c r="O3" t="s">
        <v>8</v>
      </c>
      <c r="P3" s="9">
        <f>N6*N3</f>
        <v>61.543999999999997</v>
      </c>
    </row>
    <row r="4" spans="1:21" x14ac:dyDescent="0.25">
      <c r="A4" t="s">
        <v>4</v>
      </c>
      <c r="B4" s="3">
        <v>5700</v>
      </c>
      <c r="M4" t="s">
        <v>9</v>
      </c>
      <c r="N4" s="2">
        <v>0.436</v>
      </c>
    </row>
    <row r="5" spans="1:21" x14ac:dyDescent="0.25">
      <c r="A5" t="s">
        <v>5</v>
      </c>
      <c r="B5" s="2">
        <v>50</v>
      </c>
      <c r="M5" t="s">
        <v>17</v>
      </c>
      <c r="N5" s="2">
        <v>50</v>
      </c>
    </row>
    <row r="6" spans="1:21" x14ac:dyDescent="0.25">
      <c r="A6" t="s">
        <v>6</v>
      </c>
      <c r="B6" s="4">
        <f>B4/B2</f>
        <v>570</v>
      </c>
      <c r="M6" t="s">
        <v>18</v>
      </c>
      <c r="N6" s="10">
        <f>2*3.14*J2</f>
        <v>43960000</v>
      </c>
    </row>
    <row r="7" spans="1:21" x14ac:dyDescent="0.25">
      <c r="A7" t="s">
        <v>7</v>
      </c>
      <c r="B7" s="5">
        <f>B4*(B2+B3)/(1+B2^2)</f>
        <v>609.50495049504957</v>
      </c>
    </row>
    <row r="8" spans="1:21" ht="15.75" thickBot="1" x14ac:dyDescent="0.3">
      <c r="A8" t="s">
        <v>8</v>
      </c>
      <c r="B8" s="5">
        <f>B5*B3</f>
        <v>40</v>
      </c>
      <c r="M8" t="s">
        <v>3</v>
      </c>
      <c r="N8" s="10">
        <f>N6*N3/N5</f>
        <v>1.23088</v>
      </c>
    </row>
    <row r="9" spans="1:21" ht="16.5" thickTop="1" thickBot="1" x14ac:dyDescent="0.3">
      <c r="A9" t="s">
        <v>9</v>
      </c>
      <c r="B9" s="6">
        <f>1/(SQRT(B2*B3))</f>
        <v>0.35355339059327373</v>
      </c>
      <c r="C9" s="7" t="s">
        <v>10</v>
      </c>
      <c r="D9" s="7"/>
      <c r="E9" s="7"/>
      <c r="I9" s="7"/>
      <c r="M9" t="s">
        <v>1</v>
      </c>
      <c r="N9" s="10">
        <f>(1+N8^2-N8^2*N4^2)/(N4^2*N8)</f>
        <v>9.5179357645645233</v>
      </c>
    </row>
    <row r="10" spans="1:21" ht="15.75" thickTop="1" x14ac:dyDescent="0.25">
      <c r="N10" s="5"/>
    </row>
    <row r="11" spans="1:21" x14ac:dyDescent="0.25">
      <c r="A11" t="s">
        <v>11</v>
      </c>
      <c r="B11" s="8">
        <f>1*10^12*1/(2*3.14*J2*B6)</f>
        <v>39.908688919751611</v>
      </c>
      <c r="C11" t="s">
        <v>12</v>
      </c>
      <c r="L11" s="13"/>
      <c r="M11" t="s">
        <v>19</v>
      </c>
      <c r="N11" s="11">
        <f>(N6*N2*(1+N9^2))/N9</f>
        <v>3934.1520740573774</v>
      </c>
      <c r="O11" t="s">
        <v>32</v>
      </c>
    </row>
    <row r="12" spans="1:21" x14ac:dyDescent="0.25">
      <c r="A12" t="s">
        <v>13</v>
      </c>
      <c r="B12" s="8">
        <f>1*10^6*B7/(2*3.14*J2)</f>
        <v>13.864989774682657</v>
      </c>
      <c r="C12" t="s">
        <v>14</v>
      </c>
      <c r="M12" t="s">
        <v>21</v>
      </c>
      <c r="N12" s="10">
        <f>N4^2*N2*N3</f>
        <v>2.4750499199999998E-12</v>
      </c>
    </row>
    <row r="13" spans="1:21" x14ac:dyDescent="0.25">
      <c r="A13" t="s">
        <v>15</v>
      </c>
      <c r="B13" s="8">
        <f>1*10^6*B8/(2*3.14*J2)</f>
        <v>0.90991810737033663</v>
      </c>
      <c r="C13" t="s">
        <v>14</v>
      </c>
      <c r="M13" t="s">
        <v>22</v>
      </c>
      <c r="N13" s="4">
        <f>(N6^2*N12*N5)/(N5^2+(N6*N3)^2)</f>
        <v>38.034701585246054</v>
      </c>
      <c r="O13" t="s">
        <v>23</v>
      </c>
    </row>
    <row r="14" spans="1:21" x14ac:dyDescent="0.25">
      <c r="A14" s="7" t="s">
        <v>53</v>
      </c>
      <c r="M14" t="s">
        <v>24</v>
      </c>
      <c r="N14" s="10">
        <f>-(N6^2*N12*(N6*N3))/(N5^2+(N6*N3)^2)</f>
        <v>-46.816153487247661</v>
      </c>
    </row>
    <row r="15" spans="1:21" x14ac:dyDescent="0.25">
      <c r="A15" s="7" t="s">
        <v>50</v>
      </c>
      <c r="M15" t="s">
        <v>24</v>
      </c>
      <c r="N15" s="4">
        <f>N14+P2</f>
        <v>362.01184651275236</v>
      </c>
      <c r="O15" t="s">
        <v>25</v>
      </c>
      <c r="T15" t="s">
        <v>26</v>
      </c>
      <c r="U15" s="10">
        <f>N15/(N6)</f>
        <v>8.2350283556131116E-6</v>
      </c>
    </row>
    <row r="16" spans="1:21" x14ac:dyDescent="0.25">
      <c r="A16" s="7" t="s">
        <v>51</v>
      </c>
      <c r="M16" t="s">
        <v>27</v>
      </c>
      <c r="N16" s="9">
        <f>N15/N13</f>
        <v>9.5179357645645215</v>
      </c>
      <c r="T16" t="s">
        <v>28</v>
      </c>
    </row>
    <row r="17" spans="13:18" x14ac:dyDescent="0.25">
      <c r="M17" s="12" t="s">
        <v>19</v>
      </c>
      <c r="N17" s="4">
        <f>(N16^2+1)*N13</f>
        <v>3483.6402027050135</v>
      </c>
      <c r="O17" t="s">
        <v>29</v>
      </c>
    </row>
    <row r="18" spans="13:18" x14ac:dyDescent="0.25">
      <c r="M18" s="12" t="s">
        <v>30</v>
      </c>
      <c r="N18" s="9">
        <f>1/(N6^2*U15+(N13^2/U15))</f>
        <v>6.2151525365910047E-11</v>
      </c>
      <c r="O18" t="s">
        <v>31</v>
      </c>
    </row>
    <row r="19" spans="13:18" x14ac:dyDescent="0.25">
      <c r="M19" s="7" t="s">
        <v>54</v>
      </c>
    </row>
    <row r="20" spans="13:18" x14ac:dyDescent="0.25">
      <c r="M20" s="7" t="s">
        <v>55</v>
      </c>
      <c r="N20" s="7"/>
      <c r="O20" s="7"/>
      <c r="P20" s="7"/>
      <c r="Q20" s="7"/>
      <c r="R20" s="7"/>
    </row>
    <row r="21" spans="13:18" x14ac:dyDescent="0.25">
      <c r="M21" s="7" t="s">
        <v>56</v>
      </c>
      <c r="N21" s="7"/>
      <c r="O21" s="7"/>
      <c r="P21" s="7"/>
      <c r="Q21" s="7"/>
      <c r="R21" s="7"/>
    </row>
    <row r="22" spans="13:18" x14ac:dyDescent="0.25">
      <c r="M22" s="7" t="s">
        <v>57</v>
      </c>
      <c r="N22" s="7"/>
      <c r="O22" s="7"/>
      <c r="P22" s="7"/>
      <c r="Q22" s="7"/>
      <c r="R22" s="7"/>
    </row>
    <row r="23" spans="13:18" x14ac:dyDescent="0.25">
      <c r="M23" s="7" t="s">
        <v>58</v>
      </c>
      <c r="N23" s="7"/>
      <c r="O23" s="7"/>
      <c r="P23" s="7"/>
      <c r="Q23" s="7"/>
      <c r="R23" s="7"/>
    </row>
    <row r="24" spans="13:18" x14ac:dyDescent="0.25">
      <c r="M24" s="7" t="s">
        <v>53</v>
      </c>
      <c r="N24" s="7"/>
      <c r="O24" s="7"/>
      <c r="P24" s="7"/>
      <c r="Q24" s="7"/>
      <c r="R24" s="7"/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2"/>
  <sheetViews>
    <sheetView tabSelected="1" workbookViewId="0">
      <selection activeCell="D31" sqref="D31"/>
    </sheetView>
  </sheetViews>
  <sheetFormatPr defaultRowHeight="15" x14ac:dyDescent="0.25"/>
  <sheetData>
    <row r="1" spans="1:17" x14ac:dyDescent="0.25">
      <c r="E1" t="s">
        <v>16</v>
      </c>
    </row>
    <row r="2" spans="1:17" x14ac:dyDescent="0.25">
      <c r="A2" t="s">
        <v>2</v>
      </c>
      <c r="B2" s="23">
        <v>7000000</v>
      </c>
      <c r="C2" t="s">
        <v>47</v>
      </c>
      <c r="E2" t="s">
        <v>13</v>
      </c>
      <c r="F2" s="23">
        <v>9.3000000000000007E-6</v>
      </c>
      <c r="G2" t="s">
        <v>7</v>
      </c>
      <c r="H2" s="9">
        <f>F6*F2</f>
        <v>408.82800000000003</v>
      </c>
    </row>
    <row r="3" spans="1:17" x14ac:dyDescent="0.25">
      <c r="E3" t="s">
        <v>15</v>
      </c>
      <c r="F3" s="23">
        <v>1.3999999999999999E-6</v>
      </c>
      <c r="G3" t="s">
        <v>8</v>
      </c>
      <c r="H3" s="9">
        <f>F6*F3</f>
        <v>61.543999999999997</v>
      </c>
      <c r="L3" s="7" t="s">
        <v>59</v>
      </c>
      <c r="M3" s="7"/>
      <c r="N3" s="7"/>
      <c r="O3" s="7"/>
      <c r="P3" s="7"/>
      <c r="Q3" s="7"/>
    </row>
    <row r="4" spans="1:17" x14ac:dyDescent="0.25">
      <c r="E4" t="s">
        <v>9</v>
      </c>
      <c r="F4" s="22">
        <v>0.436</v>
      </c>
      <c r="L4" s="7" t="s">
        <v>60</v>
      </c>
      <c r="M4" s="7"/>
      <c r="N4" s="7"/>
      <c r="O4" s="7"/>
      <c r="P4" s="7"/>
      <c r="Q4" s="7"/>
    </row>
    <row r="5" spans="1:17" x14ac:dyDescent="0.25">
      <c r="E5" t="s">
        <v>17</v>
      </c>
      <c r="F5" s="22">
        <v>50</v>
      </c>
      <c r="L5" s="7" t="s">
        <v>61</v>
      </c>
      <c r="M5" s="7"/>
      <c r="N5" s="7"/>
      <c r="O5" s="7"/>
      <c r="P5" s="7"/>
      <c r="Q5" s="7"/>
    </row>
    <row r="6" spans="1:17" x14ac:dyDescent="0.25">
      <c r="E6" t="s">
        <v>18</v>
      </c>
      <c r="F6" s="10">
        <f>2*3.14*B2</f>
        <v>43960000</v>
      </c>
      <c r="L6" s="7" t="s">
        <v>62</v>
      </c>
      <c r="M6" s="7"/>
      <c r="N6" s="7"/>
      <c r="O6" s="7"/>
      <c r="P6" s="7"/>
      <c r="Q6" s="7"/>
    </row>
    <row r="7" spans="1:17" x14ac:dyDescent="0.25">
      <c r="B7" t="s">
        <v>16</v>
      </c>
      <c r="L7" s="7" t="s">
        <v>63</v>
      </c>
      <c r="M7" s="7"/>
      <c r="N7" s="7"/>
      <c r="O7" s="7"/>
      <c r="P7" s="7"/>
      <c r="Q7" s="7"/>
    </row>
    <row r="8" spans="1:17" x14ac:dyDescent="0.25">
      <c r="E8" t="s">
        <v>3</v>
      </c>
      <c r="F8" s="10">
        <f>F6*F3/F5</f>
        <v>1.23088</v>
      </c>
      <c r="L8" s="7" t="s">
        <v>64</v>
      </c>
      <c r="M8" s="7"/>
      <c r="N8" s="7"/>
      <c r="O8" s="7"/>
      <c r="P8" s="7"/>
      <c r="Q8" s="7"/>
    </row>
    <row r="9" spans="1:17" x14ac:dyDescent="0.25">
      <c r="A9" s="7"/>
      <c r="E9" t="s">
        <v>1</v>
      </c>
      <c r="F9" s="10">
        <f>(1+F8^2-F8^2*F4^2)/(F4^2*F8)</f>
        <v>9.5179357645645233</v>
      </c>
    </row>
    <row r="10" spans="1:17" x14ac:dyDescent="0.25">
      <c r="F10" s="5"/>
    </row>
    <row r="11" spans="1:17" x14ac:dyDescent="0.25">
      <c r="E11" t="s">
        <v>19</v>
      </c>
      <c r="F11" s="11">
        <f>(F6*F2*(1+F9^2))/F9</f>
        <v>3934.1520740573774</v>
      </c>
      <c r="G11" t="s">
        <v>20</v>
      </c>
    </row>
    <row r="12" spans="1:17" x14ac:dyDescent="0.25">
      <c r="E12" t="s">
        <v>21</v>
      </c>
      <c r="F12" s="10">
        <f>F4^2*F2*F3</f>
        <v>2.4750499199999998E-12</v>
      </c>
    </row>
    <row r="13" spans="1:17" x14ac:dyDescent="0.25">
      <c r="E13" t="s">
        <v>22</v>
      </c>
      <c r="F13" s="4">
        <f>(F6^2*F12*F5)/(F5^2+(F6*F3)^2)</f>
        <v>38.034701585246054</v>
      </c>
      <c r="G13" t="s">
        <v>23</v>
      </c>
    </row>
    <row r="14" spans="1:17" x14ac:dyDescent="0.25">
      <c r="E14" t="s">
        <v>24</v>
      </c>
      <c r="F14" s="10">
        <f>-(F6^2*F12*(F6*F3))/(F5^2+(F6*F3)^2)</f>
        <v>-46.816153487247661</v>
      </c>
    </row>
    <row r="15" spans="1:17" x14ac:dyDescent="0.25">
      <c r="E15" t="s">
        <v>24</v>
      </c>
      <c r="F15" s="4">
        <f>F14+H2</f>
        <v>362.01184651275236</v>
      </c>
      <c r="G15" t="s">
        <v>25</v>
      </c>
      <c r="L15" t="s">
        <v>26</v>
      </c>
      <c r="M15" s="10">
        <f>F15/(F6)</f>
        <v>8.2350283556131116E-6</v>
      </c>
    </row>
    <row r="16" spans="1:17" x14ac:dyDescent="0.25">
      <c r="E16" t="s">
        <v>27</v>
      </c>
      <c r="F16" s="9">
        <f>F15/F13</f>
        <v>9.5179357645645215</v>
      </c>
      <c r="L16" t="s">
        <v>28</v>
      </c>
    </row>
    <row r="17" spans="1:15" x14ac:dyDescent="0.25">
      <c r="E17" s="12" t="s">
        <v>19</v>
      </c>
      <c r="F17" s="4">
        <f>(F16^2+1)*F13</f>
        <v>3483.6402027050135</v>
      </c>
      <c r="G17" t="s">
        <v>29</v>
      </c>
    </row>
    <row r="18" spans="1:15" x14ac:dyDescent="0.25">
      <c r="E18" s="12" t="s">
        <v>30</v>
      </c>
      <c r="F18" s="4">
        <f>1/(F6^2*M15+(F13^2/M15))</f>
        <v>6.2151525365910047E-11</v>
      </c>
      <c r="G18" t="s">
        <v>31</v>
      </c>
    </row>
    <row r="20" spans="1:15" x14ac:dyDescent="0.25">
      <c r="A20" s="7" t="s">
        <v>33</v>
      </c>
      <c r="B20" s="7"/>
      <c r="C20" s="7"/>
      <c r="D20" s="7"/>
      <c r="E20" s="7" t="s">
        <v>34</v>
      </c>
      <c r="F20" s="7"/>
      <c r="G20" s="7"/>
      <c r="H20" s="7"/>
      <c r="I20" s="7"/>
      <c r="J20" s="7"/>
      <c r="K20" s="7"/>
      <c r="L20" s="7"/>
      <c r="M20" s="7"/>
    </row>
    <row r="21" spans="1:15" x14ac:dyDescent="0.25">
      <c r="B21" t="s">
        <v>35</v>
      </c>
      <c r="D21" s="24">
        <v>180</v>
      </c>
      <c r="E21" t="s">
        <v>36</v>
      </c>
      <c r="F21" s="10">
        <f>D21*0.000000000001</f>
        <v>1.8E-10</v>
      </c>
      <c r="G21" t="s">
        <v>37</v>
      </c>
    </row>
    <row r="22" spans="1:15" x14ac:dyDescent="0.25">
      <c r="E22" t="s">
        <v>38</v>
      </c>
      <c r="F22" s="10">
        <f>-1/(F6*F21)</f>
        <v>-126.37751491254677</v>
      </c>
      <c r="G22" t="s">
        <v>39</v>
      </c>
    </row>
    <row r="23" spans="1:15" x14ac:dyDescent="0.25">
      <c r="E23" t="s">
        <v>22</v>
      </c>
      <c r="F23" s="4">
        <f>(F6^2*F12*F5)/((F5^2)+(F22+F6*F3)^2)</f>
        <v>35.675921008506556</v>
      </c>
      <c r="G23" t="s">
        <v>40</v>
      </c>
    </row>
    <row r="24" spans="1:15" x14ac:dyDescent="0.25">
      <c r="E24" t="s">
        <v>24</v>
      </c>
      <c r="F24" s="10">
        <f>-(F6^2*F12*(F22+F6*F3))/(F5^2+(F22+F6*F3)^2)</f>
        <v>46.259907134477011</v>
      </c>
    </row>
    <row r="25" spans="1:15" x14ac:dyDescent="0.25">
      <c r="E25" t="s">
        <v>24</v>
      </c>
      <c r="F25" s="4">
        <f>F24+H2</f>
        <v>455.08790713447706</v>
      </c>
      <c r="G25" t="s">
        <v>41</v>
      </c>
      <c r="L25" t="s">
        <v>42</v>
      </c>
      <c r="N25" s="10">
        <f>F25/F6</f>
        <v>1.0352318178673272E-5</v>
      </c>
    </row>
    <row r="26" spans="1:15" x14ac:dyDescent="0.25">
      <c r="E26" t="s">
        <v>27</v>
      </c>
      <c r="F26" s="9">
        <f>F25/F23</f>
        <v>12.756164221407655</v>
      </c>
    </row>
    <row r="27" spans="1:15" x14ac:dyDescent="0.25">
      <c r="B27" s="7" t="s">
        <v>48</v>
      </c>
      <c r="E27" t="s">
        <v>19</v>
      </c>
      <c r="F27" s="14">
        <f>F23*(F26^2+1)</f>
        <v>5840.8519995926126</v>
      </c>
    </row>
    <row r="28" spans="1:15" x14ac:dyDescent="0.25">
      <c r="B28" s="7" t="s">
        <v>49</v>
      </c>
      <c r="E28" t="s">
        <v>30</v>
      </c>
      <c r="F28" s="14">
        <f>1/(F6^2*N25+(F23^2/N25))</f>
        <v>4.9680529512038776E-11</v>
      </c>
    </row>
    <row r="29" spans="1:15" x14ac:dyDescent="0.25">
      <c r="A29" s="7" t="s">
        <v>65</v>
      </c>
      <c r="D29" s="22">
        <v>100</v>
      </c>
      <c r="F29" s="21"/>
    </row>
    <row r="30" spans="1:15" x14ac:dyDescent="0.25">
      <c r="A30" s="7" t="s">
        <v>66</v>
      </c>
      <c r="D30" s="22">
        <v>50</v>
      </c>
      <c r="F30" s="21"/>
    </row>
    <row r="31" spans="1:15" x14ac:dyDescent="0.25">
      <c r="A31" t="s">
        <v>21</v>
      </c>
      <c r="B31" t="s">
        <v>15</v>
      </c>
      <c r="C31" t="s">
        <v>43</v>
      </c>
      <c r="D31" s="12" t="s">
        <v>44</v>
      </c>
      <c r="E31" t="s">
        <v>36</v>
      </c>
      <c r="F31" t="s">
        <v>38</v>
      </c>
      <c r="G31" t="s">
        <v>22</v>
      </c>
      <c r="H31" t="s">
        <v>24</v>
      </c>
      <c r="I31" t="s">
        <v>45</v>
      </c>
      <c r="J31" s="15" t="s">
        <v>27</v>
      </c>
      <c r="K31" s="19" t="s">
        <v>19</v>
      </c>
      <c r="L31" s="17" t="s">
        <v>30</v>
      </c>
      <c r="M31" t="s">
        <v>17</v>
      </c>
      <c r="N31" t="s">
        <v>8</v>
      </c>
      <c r="O31" t="s">
        <v>46</v>
      </c>
    </row>
    <row r="32" spans="1:15" x14ac:dyDescent="0.25">
      <c r="A32" s="9">
        <f>F12</f>
        <v>2.4750499199999998E-12</v>
      </c>
      <c r="B32" s="9">
        <f>F3</f>
        <v>1.3999999999999999E-6</v>
      </c>
      <c r="C32" s="9">
        <f>F6</f>
        <v>43960000</v>
      </c>
      <c r="D32" s="12">
        <f>D29</f>
        <v>100</v>
      </c>
      <c r="E32">
        <f>D32*0.000000000001</f>
        <v>1E-10</v>
      </c>
      <c r="F32" s="9">
        <f>-1/(C32*E32)</f>
        <v>-227.47952684258419</v>
      </c>
      <c r="G32" s="9">
        <f t="shared" ref="G32:G42" si="0">(C32^2*A32*M32)/((M32^2)+(F32+C32*B32)^2)</f>
        <v>7.9624642542568314</v>
      </c>
      <c r="H32" s="9">
        <f t="shared" ref="H32:H42" si="1">-(C32^2*A32*(F32+C32*B32))/(M32^2+(F32+C32*B32)^2)</f>
        <v>26.425114019907028</v>
      </c>
      <c r="I32" s="9">
        <f t="shared" ref="I32:I42" si="2">H32+N32</f>
        <v>435.25311401990706</v>
      </c>
      <c r="J32" s="16">
        <f t="shared" ref="J32:J42" si="3">I32/G32</f>
        <v>54.663116859484219</v>
      </c>
      <c r="K32" s="20">
        <f t="shared" ref="K32:K42" si="4">G32*(J32^2+1)</f>
        <v>23800.254299378845</v>
      </c>
      <c r="L32" s="18">
        <f t="shared" ref="L32:L42" si="5">1/(C32^2*O32+(G32^2/O32))</f>
        <v>5.2246248306938833E-11</v>
      </c>
      <c r="M32">
        <v>50</v>
      </c>
      <c r="N32" s="9">
        <f>H2</f>
        <v>408.82800000000003</v>
      </c>
      <c r="O32" s="9">
        <f>I32/C32</f>
        <v>9.9011172434009794E-6</v>
      </c>
    </row>
    <row r="33" spans="1:15" x14ac:dyDescent="0.25">
      <c r="A33" s="9">
        <f>F12</f>
        <v>2.4750499199999998E-12</v>
      </c>
      <c r="B33" s="9">
        <f>F3</f>
        <v>1.3999999999999999E-6</v>
      </c>
      <c r="C33" s="9">
        <f>F6</f>
        <v>43960000</v>
      </c>
      <c r="D33" s="12">
        <f>D29+D30</f>
        <v>150</v>
      </c>
      <c r="E33">
        <f t="shared" ref="E33:E42" si="6">D33*0.000000000001</f>
        <v>1.5E-10</v>
      </c>
      <c r="F33" s="9">
        <f t="shared" ref="F33:F42" si="7">-1/(C33*E33)</f>
        <v>-151.65301789505611</v>
      </c>
      <c r="G33" s="9">
        <f t="shared" si="0"/>
        <v>22.519551668841839</v>
      </c>
      <c r="H33" s="9">
        <f t="shared" si="1"/>
        <v>40.584293686326191</v>
      </c>
      <c r="I33" s="9">
        <f t="shared" si="2"/>
        <v>449.41229368632622</v>
      </c>
      <c r="J33" s="16">
        <f t="shared" si="3"/>
        <v>19.956538224876621</v>
      </c>
      <c r="K33" s="20">
        <f t="shared" si="4"/>
        <v>8991.2331693494889</v>
      </c>
      <c r="L33" s="18">
        <f t="shared" si="5"/>
        <v>5.0490336389967332E-11</v>
      </c>
      <c r="M33">
        <v>50</v>
      </c>
      <c r="N33" s="9">
        <f>H2</f>
        <v>408.82800000000003</v>
      </c>
      <c r="O33" s="9">
        <f t="shared" ref="O33:O42" si="8">I33/C33</f>
        <v>1.0223209592500597E-5</v>
      </c>
    </row>
    <row r="34" spans="1:15" x14ac:dyDescent="0.25">
      <c r="A34" s="9">
        <f>F12</f>
        <v>2.4750499199999998E-12</v>
      </c>
      <c r="B34" s="9">
        <f>F3</f>
        <v>1.3999999999999999E-6</v>
      </c>
      <c r="C34" s="9">
        <f>F6</f>
        <v>43960000</v>
      </c>
      <c r="D34" s="12">
        <f>D33+D30</f>
        <v>200</v>
      </c>
      <c r="E34">
        <f t="shared" si="6"/>
        <v>2.0000000000000001E-10</v>
      </c>
      <c r="F34" s="9">
        <f t="shared" si="7"/>
        <v>-113.7397634212921</v>
      </c>
      <c r="G34" s="9">
        <f t="shared" si="0"/>
        <v>45.775500704764468</v>
      </c>
      <c r="H34" s="9">
        <f t="shared" si="1"/>
        <v>47.785744105541518</v>
      </c>
      <c r="I34" s="9">
        <f t="shared" si="2"/>
        <v>456.61374410554157</v>
      </c>
      <c r="J34" s="16">
        <f t="shared" si="3"/>
        <v>9.9750682586857131</v>
      </c>
      <c r="K34" s="20">
        <f t="shared" si="4"/>
        <v>4600.5287660115928</v>
      </c>
      <c r="L34" s="18">
        <f t="shared" si="5"/>
        <v>4.9323108779852558E-11</v>
      </c>
      <c r="M34">
        <v>50</v>
      </c>
      <c r="N34" s="9">
        <f>H2</f>
        <v>408.82800000000003</v>
      </c>
      <c r="O34" s="9">
        <f t="shared" si="8"/>
        <v>1.0387027845894939E-5</v>
      </c>
    </row>
    <row r="35" spans="1:15" x14ac:dyDescent="0.25">
      <c r="A35" s="9">
        <f>F12</f>
        <v>2.4750499199999998E-12</v>
      </c>
      <c r="B35" s="9">
        <f>F3</f>
        <v>1.3999999999999999E-6</v>
      </c>
      <c r="C35" s="9">
        <f>F6</f>
        <v>43960000</v>
      </c>
      <c r="D35" s="12">
        <f>D34+D30</f>
        <v>250</v>
      </c>
      <c r="E35">
        <f t="shared" si="6"/>
        <v>2.5000000000000002E-10</v>
      </c>
      <c r="F35" s="9">
        <f t="shared" si="7"/>
        <v>-90.99181073703366</v>
      </c>
      <c r="G35" s="9">
        <f t="shared" si="0"/>
        <v>71.023788174627114</v>
      </c>
      <c r="H35" s="9">
        <f t="shared" si="1"/>
        <v>41.829901439871776</v>
      </c>
      <c r="I35" s="9">
        <f t="shared" si="2"/>
        <v>450.65790143987181</v>
      </c>
      <c r="J35" s="16">
        <f t="shared" si="3"/>
        <v>6.3451684713272876</v>
      </c>
      <c r="K35" s="20">
        <f t="shared" si="4"/>
        <v>2930.5240957454221</v>
      </c>
      <c r="L35" s="18">
        <f t="shared" si="5"/>
        <v>4.9253849292335041E-11</v>
      </c>
      <c r="M35">
        <v>50</v>
      </c>
      <c r="N35" s="9">
        <f>H2</f>
        <v>408.82800000000003</v>
      </c>
      <c r="O35" s="9">
        <f t="shared" si="8"/>
        <v>1.0251544618741397E-5</v>
      </c>
    </row>
    <row r="36" spans="1:15" x14ac:dyDescent="0.25">
      <c r="A36" s="9">
        <f>F12</f>
        <v>2.4750499199999998E-12</v>
      </c>
      <c r="B36" s="9">
        <f>F3</f>
        <v>1.3999999999999999E-6</v>
      </c>
      <c r="C36" s="9">
        <f>F6</f>
        <v>43960000</v>
      </c>
      <c r="D36" s="12">
        <f>D35+D30</f>
        <v>300</v>
      </c>
      <c r="E36">
        <f t="shared" si="6"/>
        <v>3E-10</v>
      </c>
      <c r="F36" s="9">
        <f t="shared" si="7"/>
        <v>-75.826508947528055</v>
      </c>
      <c r="G36" s="9">
        <f t="shared" si="0"/>
        <v>88.443158445513149</v>
      </c>
      <c r="H36" s="9">
        <f t="shared" si="1"/>
        <v>25.263804036913665</v>
      </c>
      <c r="I36" s="9">
        <f t="shared" si="2"/>
        <v>434.09180403691369</v>
      </c>
      <c r="J36" s="16">
        <f t="shared" si="3"/>
        <v>4.908144526570057</v>
      </c>
      <c r="K36" s="20">
        <f t="shared" si="4"/>
        <v>2219.0284704582127</v>
      </c>
      <c r="L36" s="18">
        <f t="shared" si="5"/>
        <v>5.0314919769759713E-11</v>
      </c>
      <c r="M36">
        <v>50</v>
      </c>
      <c r="N36" s="9">
        <f>H2</f>
        <v>408.82800000000003</v>
      </c>
      <c r="O36" s="9">
        <f t="shared" si="8"/>
        <v>9.8746998188560891E-6</v>
      </c>
    </row>
    <row r="37" spans="1:15" x14ac:dyDescent="0.25">
      <c r="A37" s="9">
        <f>F12</f>
        <v>2.4750499199999998E-12</v>
      </c>
      <c r="B37" s="9">
        <f>F3</f>
        <v>1.3999999999999999E-6</v>
      </c>
      <c r="C37" s="9">
        <f>F6</f>
        <v>43960000</v>
      </c>
      <c r="D37" s="12">
        <f>D36+D30</f>
        <v>350</v>
      </c>
      <c r="E37">
        <f t="shared" si="6"/>
        <v>3.4999999999999998E-10</v>
      </c>
      <c r="F37" s="9">
        <f t="shared" si="7"/>
        <v>-64.994150526452628</v>
      </c>
      <c r="G37" s="9">
        <f t="shared" si="0"/>
        <v>95.206451121172037</v>
      </c>
      <c r="H37" s="9">
        <f t="shared" si="1"/>
        <v>6.569531749147969</v>
      </c>
      <c r="I37" s="9">
        <f t="shared" si="2"/>
        <v>415.39753174914802</v>
      </c>
      <c r="J37" s="16">
        <f t="shared" si="3"/>
        <v>4.3631237889590002</v>
      </c>
      <c r="K37" s="20">
        <f t="shared" si="4"/>
        <v>1907.6373037707313</v>
      </c>
      <c r="L37" s="18">
        <f t="shared" si="5"/>
        <v>5.2028828179557455E-11</v>
      </c>
      <c r="M37">
        <v>50</v>
      </c>
      <c r="N37" s="9">
        <f>H2</f>
        <v>408.82800000000003</v>
      </c>
      <c r="O37" s="9">
        <f t="shared" si="8"/>
        <v>9.4494433973873527E-6</v>
      </c>
    </row>
    <row r="38" spans="1:15" x14ac:dyDescent="0.25">
      <c r="A38" s="9">
        <f>F12</f>
        <v>2.4750499199999998E-12</v>
      </c>
      <c r="B38" s="9">
        <f>F3</f>
        <v>1.3999999999999999E-6</v>
      </c>
      <c r="C38" s="9">
        <f>F6</f>
        <v>43960000</v>
      </c>
      <c r="D38" s="12">
        <f>D37+D30</f>
        <v>400</v>
      </c>
      <c r="E38">
        <f t="shared" si="6"/>
        <v>4.0000000000000001E-10</v>
      </c>
      <c r="F38" s="9">
        <f t="shared" si="7"/>
        <v>-56.869881710646048</v>
      </c>
      <c r="G38" s="9">
        <f t="shared" si="0"/>
        <v>94.831044575346937</v>
      </c>
      <c r="H38" s="9">
        <f t="shared" si="1"/>
        <v>-8.8650303969633732</v>
      </c>
      <c r="I38" s="9">
        <f t="shared" si="2"/>
        <v>399.96296960303664</v>
      </c>
      <c r="J38" s="16">
        <f t="shared" si="3"/>
        <v>4.2176374982904523</v>
      </c>
      <c r="K38" s="20">
        <f t="shared" si="4"/>
        <v>1781.7298631007186</v>
      </c>
      <c r="L38" s="18">
        <f t="shared" si="5"/>
        <v>5.3848016041835712E-11</v>
      </c>
      <c r="M38">
        <v>50</v>
      </c>
      <c r="N38" s="9">
        <f>H2</f>
        <v>408.82800000000003</v>
      </c>
      <c r="O38" s="9">
        <f t="shared" si="8"/>
        <v>9.098338707985365E-6</v>
      </c>
    </row>
    <row r="39" spans="1:15" x14ac:dyDescent="0.25">
      <c r="A39" s="9">
        <f>F12</f>
        <v>2.4750499199999998E-12</v>
      </c>
      <c r="B39" s="9">
        <f>F3</f>
        <v>1.3999999999999999E-6</v>
      </c>
      <c r="C39" s="9">
        <f>F6</f>
        <v>43960000</v>
      </c>
      <c r="D39" s="12">
        <f>D38+D30</f>
        <v>450</v>
      </c>
      <c r="E39">
        <f t="shared" si="6"/>
        <v>4.5E-10</v>
      </c>
      <c r="F39" s="9">
        <f t="shared" si="7"/>
        <v>-50.551005965018703</v>
      </c>
      <c r="G39" s="9">
        <f t="shared" si="0"/>
        <v>91.248943650213832</v>
      </c>
      <c r="H39" s="9">
        <f t="shared" si="1"/>
        <v>-20.061981864902897</v>
      </c>
      <c r="I39" s="9">
        <f t="shared" si="2"/>
        <v>388.76601813509711</v>
      </c>
      <c r="J39" s="16">
        <f t="shared" si="3"/>
        <v>4.2604988352014317</v>
      </c>
      <c r="K39" s="20">
        <f t="shared" si="4"/>
        <v>1747.5861110806939</v>
      </c>
      <c r="L39" s="18">
        <f t="shared" si="5"/>
        <v>5.5457997348449499E-11</v>
      </c>
      <c r="M39">
        <v>50</v>
      </c>
      <c r="N39" s="9">
        <f>H2</f>
        <v>408.82800000000003</v>
      </c>
      <c r="O39" s="9">
        <f t="shared" si="8"/>
        <v>8.8436309857847383E-6</v>
      </c>
    </row>
    <row r="40" spans="1:15" x14ac:dyDescent="0.25">
      <c r="A40" s="9">
        <f>F12</f>
        <v>2.4750499199999998E-12</v>
      </c>
      <c r="B40" s="9">
        <f>F3</f>
        <v>1.3999999999999999E-6</v>
      </c>
      <c r="C40" s="9">
        <f>F6</f>
        <v>43960000</v>
      </c>
      <c r="D40" s="12">
        <f>D39+D30</f>
        <v>500</v>
      </c>
      <c r="E40">
        <f t="shared" si="6"/>
        <v>5.0000000000000003E-10</v>
      </c>
      <c r="F40" s="9">
        <f t="shared" si="7"/>
        <v>-45.49590536851683</v>
      </c>
      <c r="G40" s="9">
        <f t="shared" si="0"/>
        <v>86.725597869455783</v>
      </c>
      <c r="H40" s="9">
        <f t="shared" si="1"/>
        <v>-27.835612031619625</v>
      </c>
      <c r="I40" s="9">
        <f t="shared" si="2"/>
        <v>380.9923879683804</v>
      </c>
      <c r="J40" s="16">
        <f t="shared" si="3"/>
        <v>4.3930788294117207</v>
      </c>
      <c r="K40" s="20">
        <f t="shared" si="4"/>
        <v>1760.4551916203645</v>
      </c>
      <c r="L40" s="18">
        <f t="shared" si="5"/>
        <v>5.6765744351433312E-11</v>
      </c>
      <c r="M40">
        <v>50</v>
      </c>
      <c r="N40" s="9">
        <f>H2</f>
        <v>408.82800000000003</v>
      </c>
      <c r="O40" s="9">
        <f t="shared" si="8"/>
        <v>8.6667968145673438E-6</v>
      </c>
    </row>
    <row r="41" spans="1:15" x14ac:dyDescent="0.25">
      <c r="A41" s="9">
        <f>F12</f>
        <v>2.4750499199999998E-12</v>
      </c>
      <c r="B41" s="9">
        <f>F3</f>
        <v>1.3999999999999999E-6</v>
      </c>
      <c r="C41" s="9">
        <f>F6</f>
        <v>43960000</v>
      </c>
      <c r="D41" s="12">
        <f>D40+D30</f>
        <v>550</v>
      </c>
      <c r="E41">
        <f t="shared" si="6"/>
        <v>5.4999999999999996E-10</v>
      </c>
      <c r="F41" s="9">
        <f t="shared" si="7"/>
        <v>-41.359913971378944</v>
      </c>
      <c r="G41" s="9">
        <f t="shared" si="0"/>
        <v>82.255500169938543</v>
      </c>
      <c r="H41" s="9">
        <f t="shared" si="1"/>
        <v>-33.205041835145863</v>
      </c>
      <c r="I41" s="9">
        <f t="shared" si="2"/>
        <v>375.62295816485414</v>
      </c>
      <c r="J41" s="16">
        <f t="shared" si="3"/>
        <v>4.5665391054558437</v>
      </c>
      <c r="K41" s="20">
        <f t="shared" si="4"/>
        <v>1797.5524275367493</v>
      </c>
      <c r="L41" s="18">
        <f t="shared" si="5"/>
        <v>5.7789366201727409E-11</v>
      </c>
      <c r="M41">
        <v>50</v>
      </c>
      <c r="N41" s="9">
        <f>H2</f>
        <v>408.82800000000003</v>
      </c>
      <c r="O41" s="9">
        <f t="shared" si="8"/>
        <v>8.5446532794552812E-6</v>
      </c>
    </row>
    <row r="42" spans="1:15" x14ac:dyDescent="0.25">
      <c r="A42" s="9">
        <f>F12</f>
        <v>2.4750499199999998E-12</v>
      </c>
      <c r="B42" s="9">
        <f>F3</f>
        <v>1.3999999999999999E-6</v>
      </c>
      <c r="C42" s="9">
        <f>F6</f>
        <v>43960000</v>
      </c>
      <c r="D42" s="12">
        <f>D41+D30</f>
        <v>600</v>
      </c>
      <c r="E42">
        <f t="shared" si="6"/>
        <v>6E-10</v>
      </c>
      <c r="F42" s="9">
        <f t="shared" si="7"/>
        <v>-37.913254473764027</v>
      </c>
      <c r="G42" s="9">
        <f t="shared" si="0"/>
        <v>78.193981381922853</v>
      </c>
      <c r="H42" s="9">
        <f t="shared" si="1"/>
        <v>-36.955641514389043</v>
      </c>
      <c r="I42" s="9">
        <f t="shared" si="2"/>
        <v>371.87235848561102</v>
      </c>
      <c r="J42" s="16">
        <f t="shared" si="3"/>
        <v>4.7557670285296627</v>
      </c>
      <c r="K42" s="20">
        <f t="shared" si="4"/>
        <v>1846.7322826893546</v>
      </c>
      <c r="L42" s="18">
        <f t="shared" si="5"/>
        <v>5.8581292132286306E-11</v>
      </c>
      <c r="M42">
        <v>50</v>
      </c>
      <c r="N42" s="9">
        <f>H2</f>
        <v>408.82800000000003</v>
      </c>
      <c r="O42" s="9">
        <f t="shared" si="8"/>
        <v>8.4593348154142629E-6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Help and Directions</vt:lpstr>
      <vt:lpstr>Link Coupled Worksheet</vt:lpstr>
      <vt:lpstr>Link Coupled_Sweep_C</vt:lpstr>
    </vt:vector>
  </TitlesOfParts>
  <Company>ECPI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Victor, Alan (Raleigh)</dc:creator>
  <cp:lastModifiedBy>Victor, Alan (Raleigh)</cp:lastModifiedBy>
  <dcterms:created xsi:type="dcterms:W3CDTF">2021-09-12T01:20:44Z</dcterms:created>
  <dcterms:modified xsi:type="dcterms:W3CDTF">2021-09-12T21:46:50Z</dcterms:modified>
</cp:coreProperties>
</file>